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0385" windowHeight="8355"/>
  </bookViews>
  <sheets>
    <sheet name="Toroidal" sheetId="4" r:id="rId1"/>
    <sheet name="E-I" sheetId="1" r:id="rId2"/>
  </sheets>
  <calcPr calcId="144525"/>
</workbook>
</file>

<file path=xl/calcChain.xml><?xml version="1.0" encoding="utf-8"?>
<calcChain xmlns="http://schemas.openxmlformats.org/spreadsheetml/2006/main">
  <c r="I4" i="4"/>
  <c r="I6"/>
  <c r="I8"/>
  <c r="I10"/>
  <c r="I12"/>
  <c r="I14"/>
  <c r="I16"/>
  <c r="I18"/>
  <c r="I20"/>
  <c r="I42"/>
  <c r="I44"/>
  <c r="B46"/>
  <c r="I46"/>
  <c r="B48"/>
  <c r="I48"/>
  <c r="I50"/>
  <c r="I52"/>
  <c r="I54"/>
  <c r="I56"/>
  <c r="I58"/>
  <c r="E14" i="1"/>
  <c r="I14"/>
  <c r="M14"/>
  <c r="E15"/>
  <c r="I15"/>
  <c r="D19"/>
  <c r="G19"/>
  <c r="J19"/>
  <c r="M19"/>
  <c r="O19"/>
  <c r="D20"/>
  <c r="G20"/>
  <c r="J20"/>
  <c r="M20"/>
  <c r="O20"/>
  <c r="L22"/>
  <c r="D23"/>
  <c r="L23"/>
  <c r="D24"/>
  <c r="L24"/>
  <c r="D25"/>
  <c r="L25"/>
  <c r="L26"/>
  <c r="D27"/>
  <c r="E27"/>
  <c r="D28"/>
  <c r="E28"/>
  <c r="D29"/>
  <c r="E29"/>
  <c r="D30"/>
</calcChain>
</file>

<file path=xl/sharedStrings.xml><?xml version="1.0" encoding="utf-8"?>
<sst xmlns="http://schemas.openxmlformats.org/spreadsheetml/2006/main" count="104" uniqueCount="96">
  <si>
    <t>CORE SIZE CALCULATION</t>
  </si>
  <si>
    <t>Data to be Input</t>
  </si>
  <si>
    <t>Remarks</t>
  </si>
  <si>
    <t>Output Data</t>
  </si>
  <si>
    <t>Height/Width of the Sheet (mm)</t>
  </si>
  <si>
    <t>See diagram below</t>
  </si>
  <si>
    <t>Toroidal Core Cross Sectional Area (sq-mm)</t>
  </si>
  <si>
    <t>Red portion of diagram</t>
  </si>
  <si>
    <t>Thickness of the Sheet (mm)</t>
  </si>
  <si>
    <t>Effective Core Cross Sectional Area (sq-mm)</t>
  </si>
  <si>
    <t>Outside Diameter of Toroidal Core (mm)</t>
  </si>
  <si>
    <t>Length of Seet required (meters)</t>
  </si>
  <si>
    <t>Inside Diameter of Toroidal Core (mm)</t>
  </si>
  <si>
    <t>Weight of the Core (kgs)</t>
  </si>
  <si>
    <t>7,650 kgs/cubic meter</t>
  </si>
  <si>
    <t>Inter Layer Air Gap (mm)</t>
  </si>
  <si>
    <t>Power Handling Capacity of Core (Watts)</t>
  </si>
  <si>
    <t>Inner  Circumference of Core (mm)</t>
  </si>
  <si>
    <t>Outer Circumference of Core (mm)</t>
  </si>
  <si>
    <t>Core is made of long length of silicon sheet, spirally wound layer by layer until the required outer dia is achieved</t>
  </si>
  <si>
    <t>Core Thickness (mm)</t>
  </si>
  <si>
    <t>Number of Turns of Spiral Winding for Core</t>
  </si>
  <si>
    <t>WINDING CALCULATION</t>
  </si>
  <si>
    <t>Primary Winding Voltage (VAC)</t>
  </si>
  <si>
    <t>Secondary Winding Voltage (VAC)</t>
  </si>
  <si>
    <t>Turns Ratio</t>
  </si>
  <si>
    <t>Rated Power Output (Watts)</t>
  </si>
  <si>
    <t>Must be &lt;=  I4</t>
  </si>
  <si>
    <t>Turns/Volt</t>
  </si>
  <si>
    <t>Using Standard Formula</t>
  </si>
  <si>
    <t>Secondary Winding Current @ Rated Power (Amps)</t>
  </si>
  <si>
    <t>Pls. see Note below</t>
  </si>
  <si>
    <t>Turns/Volt (Simplified Formula)</t>
  </si>
  <si>
    <t>Primary Winding Current @ Rated Power (Amps)</t>
  </si>
  <si>
    <t>85% Efficiency</t>
  </si>
  <si>
    <t>No. of Turns (Primary)</t>
  </si>
  <si>
    <t>Frequency (Hz)</t>
  </si>
  <si>
    <t>No. of Turns (Secondary)</t>
  </si>
  <si>
    <t>Flux Density (Tesla)</t>
  </si>
  <si>
    <t>Length of Primary Winding Wire (meters)</t>
  </si>
  <si>
    <t>First Layer</t>
  </si>
  <si>
    <t>Length of Secondary Winding Wire (meters)</t>
  </si>
  <si>
    <t>Second Layer</t>
  </si>
  <si>
    <t>Note:</t>
  </si>
  <si>
    <t>Primary Winding Wire Area (sq-mm)</t>
  </si>
  <si>
    <t>The peak secondary current would be 150 Amps.</t>
  </si>
  <si>
    <t>Secondary Winding Wire Area (sq-mm)</t>
  </si>
  <si>
    <t>Therefore wire dia of secondary winding will need to</t>
  </si>
  <si>
    <t>be determined accordingly.</t>
  </si>
  <si>
    <t>Input data:</t>
  </si>
  <si>
    <t>Iron:</t>
  </si>
  <si>
    <t>Center leg mm:</t>
  </si>
  <si>
    <t>Design decisions:</t>
  </si>
  <si>
    <t>Flux Density T:</t>
  </si>
  <si>
    <t>Stack height mm:</t>
  </si>
  <si>
    <t>mm2/A:</t>
  </si>
  <si>
    <t>Loss W/kg@1T,50Hz:</t>
  </si>
  <si>
    <t>Fill factor:</t>
  </si>
  <si>
    <t>Temperature rise K:</t>
  </si>
  <si>
    <t xml:space="preserve"> </t>
  </si>
  <si>
    <t>Primary V:</t>
  </si>
  <si>
    <t>Secondary no-load V:</t>
  </si>
  <si>
    <t>Frequency Hz:</t>
  </si>
  <si>
    <t>Prices:</t>
  </si>
  <si>
    <t>Iron Rs./kg</t>
  </si>
  <si>
    <t>Copper Rs./kg</t>
  </si>
  <si>
    <t>Output data:</t>
  </si>
  <si>
    <t>Cross section mm2:</t>
  </si>
  <si>
    <t>Window area mm2:</t>
  </si>
  <si>
    <t>Copper area mm2:</t>
  </si>
  <si>
    <t>Turns per Volt:</t>
  </si>
  <si>
    <t>Av. turn length mm:</t>
  </si>
  <si>
    <t>Primary</t>
  </si>
  <si>
    <t>turns:</t>
  </si>
  <si>
    <t>Length m:</t>
  </si>
  <si>
    <t>mm2:</t>
  </si>
  <si>
    <t>Ampere:</t>
  </si>
  <si>
    <t>Secondary</t>
  </si>
  <si>
    <t>Input power VA:</t>
  </si>
  <si>
    <t>Iron loss W:</t>
  </si>
  <si>
    <t>Power loss %:</t>
  </si>
  <si>
    <t>Copper loss W:</t>
  </si>
  <si>
    <t>Voltage drop %:</t>
  </si>
  <si>
    <t>Total loss W:</t>
  </si>
  <si>
    <t>Loaded Vout:</t>
  </si>
  <si>
    <t>Surface area m2:</t>
  </si>
  <si>
    <t>Cost</t>
  </si>
  <si>
    <t>Required thermal transfer coefficient W/m2K:</t>
  </si>
  <si>
    <t>Iron weight kg:</t>
  </si>
  <si>
    <t>7 is easy to get</t>
  </si>
  <si>
    <t>Copper weight kg:</t>
  </si>
  <si>
    <t>Convection cooling up to 12</t>
  </si>
  <si>
    <t>Cost Rs.</t>
  </si>
  <si>
    <t>Strong fan up to 30</t>
  </si>
  <si>
    <t>Rs./W:</t>
  </si>
  <si>
    <t>Oil up to 50?</t>
  </si>
</sst>
</file>

<file path=xl/styles.xml><?xml version="1.0" encoding="utf-8"?>
<styleSheet xmlns="http://schemas.openxmlformats.org/spreadsheetml/2006/main">
  <numFmts count="6">
    <numFmt numFmtId="168" formatCode="_-* #,##0.00_-;\-* #,##0.00_-;_-* &quot;-&quot;??_-;_-@_-"/>
    <numFmt numFmtId="172" formatCode="0.00_ "/>
    <numFmt numFmtId="173" formatCode="0.0_ "/>
    <numFmt numFmtId="174" formatCode="0_ "/>
    <numFmt numFmtId="175" formatCode="_-* #,##0_-;\-* #,##0_-;_-* &quot;-&quot;??_-;_-@_-"/>
    <numFmt numFmtId="176" formatCode="0.0"/>
  </numFmts>
  <fonts count="5"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8" fontId="4" fillId="0" borderId="0" applyFont="0" applyFill="0" applyBorder="0" applyAlignment="0" applyProtection="0"/>
  </cellStyleXfs>
  <cellXfs count="19">
    <xf numFmtId="0" fontId="0" fillId="0" borderId="0" xfId="0"/>
    <xf numFmtId="0" fontId="0" fillId="3" borderId="0" xfId="0" applyFill="1"/>
    <xf numFmtId="0" fontId="0" fillId="2" borderId="0" xfId="0" applyFill="1"/>
    <xf numFmtId="172" fontId="0" fillId="2" borderId="0" xfId="0" applyNumberFormat="1" applyFill="1"/>
    <xf numFmtId="173" fontId="0" fillId="2" borderId="0" xfId="0" applyNumberFormat="1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174" fontId="0" fillId="2" borderId="0" xfId="0" applyNumberFormat="1" applyFill="1"/>
    <xf numFmtId="175" fontId="0" fillId="2" borderId="0" xfId="1" applyNumberFormat="1" applyFont="1" applyFill="1"/>
    <xf numFmtId="173" fontId="0" fillId="4" borderId="0" xfId="0" applyNumberFormat="1" applyFill="1"/>
    <xf numFmtId="0" fontId="0" fillId="4" borderId="0" xfId="0" applyFill="1"/>
    <xf numFmtId="0" fontId="2" fillId="0" borderId="0" xfId="0" applyFont="1"/>
    <xf numFmtId="0" fontId="3" fillId="0" borderId="0" xfId="0" applyFont="1" applyAlignment="1">
      <alignment horizontal="center"/>
    </xf>
    <xf numFmtId="1" fontId="0" fillId="0" borderId="0" xfId="0" applyNumberFormat="1"/>
    <xf numFmtId="0" fontId="3" fillId="0" borderId="0" xfId="0" applyFont="1"/>
    <xf numFmtId="174" fontId="0" fillId="0" borderId="0" xfId="0" applyNumberFormat="1"/>
    <xf numFmtId="176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18</xdr:row>
      <xdr:rowOff>133350</xdr:rowOff>
    </xdr:from>
    <xdr:to>
      <xdr:col>4</xdr:col>
      <xdr:colOff>419100</xdr:colOff>
      <xdr:row>35</xdr:row>
      <xdr:rowOff>19050</xdr:rowOff>
    </xdr:to>
    <xdr:pic>
      <xdr:nvPicPr>
        <xdr:cNvPr id="310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3048000"/>
          <a:ext cx="5076825" cy="2638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zoomScale="95" zoomScaleNormal="95" workbookViewId="0">
      <selection activeCell="K7" sqref="K7"/>
    </sheetView>
  </sheetViews>
  <sheetFormatPr defaultColWidth="9.140625" defaultRowHeight="12.75"/>
  <cols>
    <col min="1" max="1" width="43" customWidth="1"/>
    <col min="5" max="5" width="22.42578125" customWidth="1"/>
    <col min="7" max="7" width="39.140625" customWidth="1"/>
    <col min="9" max="9" width="12.85546875" bestFit="1" customWidth="1"/>
    <col min="11" max="11" width="21.28515625" customWidth="1"/>
  </cols>
  <sheetData>
    <row r="1" spans="1:11">
      <c r="A1" s="11" t="s">
        <v>0</v>
      </c>
    </row>
    <row r="3" spans="1:11">
      <c r="C3" s="18" t="s">
        <v>1</v>
      </c>
      <c r="D3" s="18"/>
      <c r="E3" s="12" t="s">
        <v>2</v>
      </c>
      <c r="I3" s="18" t="s">
        <v>3</v>
      </c>
      <c r="J3" s="18"/>
      <c r="K3" s="12" t="s">
        <v>2</v>
      </c>
    </row>
    <row r="4" spans="1:11">
      <c r="A4" t="s">
        <v>4</v>
      </c>
      <c r="C4">
        <v>95</v>
      </c>
      <c r="E4" t="s">
        <v>5</v>
      </c>
      <c r="G4" t="s">
        <v>6</v>
      </c>
      <c r="I4" s="15">
        <f>C4*((C8-C10)/2)</f>
        <v>10687.5</v>
      </c>
      <c r="K4" t="s">
        <v>7</v>
      </c>
    </row>
    <row r="6" spans="1:11">
      <c r="A6" t="s">
        <v>8</v>
      </c>
      <c r="C6">
        <v>0.27</v>
      </c>
      <c r="G6" t="s">
        <v>9</v>
      </c>
      <c r="I6" s="15">
        <f>C4*((C8-C10)/2)*(C6/(C6+C12))</f>
        <v>7798.9864864864876</v>
      </c>
    </row>
    <row r="8" spans="1:11">
      <c r="A8" t="s">
        <v>10</v>
      </c>
      <c r="C8">
        <v>300</v>
      </c>
      <c r="E8" t="s">
        <v>5</v>
      </c>
      <c r="G8" t="s">
        <v>11</v>
      </c>
      <c r="I8" s="15">
        <f>(I14+I14)/2000*I20</f>
        <v>71.640988175675673</v>
      </c>
    </row>
    <row r="10" spans="1:11">
      <c r="A10" t="s">
        <v>12</v>
      </c>
      <c r="C10">
        <v>75</v>
      </c>
      <c r="E10" t="s">
        <v>5</v>
      </c>
      <c r="G10" t="s">
        <v>13</v>
      </c>
      <c r="I10" s="16">
        <f>((C6*0.001)*(C4*0.001)*I8)*7650</f>
        <v>14.057573802301521</v>
      </c>
      <c r="K10" t="s">
        <v>14</v>
      </c>
    </row>
    <row r="12" spans="1:11">
      <c r="A12" t="s">
        <v>15</v>
      </c>
      <c r="C12">
        <v>0.1</v>
      </c>
      <c r="G12" t="s">
        <v>16</v>
      </c>
      <c r="I12" s="15">
        <f>((1.3*I6/100)^2)</f>
        <v>10279.288146571405</v>
      </c>
    </row>
    <row r="14" spans="1:11">
      <c r="G14" t="s">
        <v>17</v>
      </c>
      <c r="I14" s="15">
        <f>3.14159*C10</f>
        <v>235.61924999999999</v>
      </c>
    </row>
    <row r="16" spans="1:11">
      <c r="G16" t="s">
        <v>18</v>
      </c>
      <c r="I16" s="15">
        <f>3.14159*C8</f>
        <v>942.47699999999998</v>
      </c>
    </row>
    <row r="18" spans="1:11">
      <c r="A18" s="18" t="s">
        <v>19</v>
      </c>
      <c r="B18" s="18"/>
      <c r="C18" s="18"/>
      <c r="D18" s="18"/>
      <c r="E18" s="18"/>
      <c r="G18" t="s">
        <v>20</v>
      </c>
      <c r="I18" s="13">
        <f>(C8-C10)/2</f>
        <v>112.5</v>
      </c>
      <c r="K18" t="s">
        <v>7</v>
      </c>
    </row>
    <row r="20" spans="1:11">
      <c r="G20" t="s">
        <v>21</v>
      </c>
      <c r="I20" s="15">
        <f>I18/(C6+C12)</f>
        <v>304.05405405405406</v>
      </c>
    </row>
    <row r="37" spans="1:11">
      <c r="A37" s="11" t="s">
        <v>22</v>
      </c>
    </row>
    <row r="40" spans="1:11">
      <c r="A40" t="s">
        <v>23</v>
      </c>
      <c r="B40">
        <v>230</v>
      </c>
    </row>
    <row r="42" spans="1:11">
      <c r="A42" t="s">
        <v>24</v>
      </c>
      <c r="B42">
        <v>28</v>
      </c>
      <c r="G42" t="s">
        <v>25</v>
      </c>
      <c r="I42" s="16">
        <f>B40/B42</f>
        <v>8.2142857142857135</v>
      </c>
    </row>
    <row r="44" spans="1:11">
      <c r="A44" t="s">
        <v>26</v>
      </c>
      <c r="B44">
        <v>6000</v>
      </c>
      <c r="E44" t="s">
        <v>27</v>
      </c>
      <c r="G44" t="s">
        <v>28</v>
      </c>
      <c r="I44" s="17">
        <f>(10000)/(4.44*B50*B52*(I4*0.01))</f>
        <v>0.28098273712308797</v>
      </c>
      <c r="K44" t="s">
        <v>29</v>
      </c>
    </row>
    <row r="46" spans="1:11">
      <c r="A46" t="s">
        <v>30</v>
      </c>
      <c r="B46" s="13">
        <f>B44/B42</f>
        <v>214.28571428571428</v>
      </c>
      <c r="E46" s="14" t="s">
        <v>31</v>
      </c>
      <c r="G46" t="s">
        <v>32</v>
      </c>
      <c r="I46" s="17">
        <f>32.2/(I4*0.01)</f>
        <v>0.30128654970760238</v>
      </c>
    </row>
    <row r="48" spans="1:11">
      <c r="A48" t="s">
        <v>33</v>
      </c>
      <c r="B48" s="13">
        <f>(B44/B40)/0.85</f>
        <v>30.690537084398976</v>
      </c>
      <c r="E48" t="s">
        <v>34</v>
      </c>
      <c r="G48" t="s">
        <v>35</v>
      </c>
      <c r="I48" s="13">
        <f>((I44+I46)/2)*B40</f>
        <v>66.960967985529393</v>
      </c>
    </row>
    <row r="50" spans="1:11">
      <c r="A50" t="s">
        <v>36</v>
      </c>
      <c r="B50">
        <v>50</v>
      </c>
      <c r="G50" t="s">
        <v>37</v>
      </c>
      <c r="I50" s="13">
        <f>((I46+I44)/2)*B42</f>
        <v>8.1517700156296655</v>
      </c>
    </row>
    <row r="52" spans="1:11">
      <c r="A52" t="s">
        <v>38</v>
      </c>
      <c r="B52">
        <v>1.5</v>
      </c>
      <c r="G52" t="s">
        <v>39</v>
      </c>
      <c r="I52" s="13">
        <f>(((2*(C4+I18))*I48)/1000)*1.12</f>
        <v>31.123457919674063</v>
      </c>
      <c r="K52" t="s">
        <v>40</v>
      </c>
    </row>
    <row r="54" spans="1:11">
      <c r="G54" t="s">
        <v>41</v>
      </c>
      <c r="I54" s="13">
        <f>(((2*(C4+I18))*I50)/1000)*1.2</f>
        <v>4.0595814677835733</v>
      </c>
      <c r="K54" t="s">
        <v>42</v>
      </c>
    </row>
    <row r="56" spans="1:11">
      <c r="A56" s="14" t="s">
        <v>43</v>
      </c>
      <c r="G56" t="s">
        <v>44</v>
      </c>
      <c r="I56" s="15">
        <f>B48*0.5</f>
        <v>15.345268542199488</v>
      </c>
    </row>
    <row r="57" spans="1:11">
      <c r="A57" s="14"/>
    </row>
    <row r="58" spans="1:11">
      <c r="A58" s="14" t="s">
        <v>45</v>
      </c>
      <c r="G58" t="s">
        <v>46</v>
      </c>
      <c r="I58" s="15">
        <f>B46*0.5</f>
        <v>107.14285714285714</v>
      </c>
    </row>
    <row r="59" spans="1:11">
      <c r="A59" s="14" t="s">
        <v>47</v>
      </c>
    </row>
    <row r="60" spans="1:11">
      <c r="A60" s="14" t="s">
        <v>48</v>
      </c>
    </row>
  </sheetData>
  <mergeCells count="3">
    <mergeCell ref="C3:D3"/>
    <mergeCell ref="I3:J3"/>
    <mergeCell ref="A18:E18"/>
  </mergeCells>
  <pageMargins left="0.75" right="0.75" top="1" bottom="1" header="0.5" footer="0.5"/>
  <pageSetup orientation="portrait" horizontalDpi="0" verticalDpi="0"/>
  <headerFooter scaleWithDoc="0"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O30"/>
  <sheetViews>
    <sheetView workbookViewId="0">
      <selection activeCell="I2" sqref="I2"/>
    </sheetView>
  </sheetViews>
  <sheetFormatPr defaultColWidth="9.140625" defaultRowHeight="12.75"/>
  <cols>
    <col min="4" max="4" width="15.28515625" bestFit="1" customWidth="1"/>
    <col min="5" max="5" width="12.85546875" bestFit="1" customWidth="1"/>
    <col min="7" max="7" width="12.85546875" bestFit="1" customWidth="1"/>
    <col min="9" max="9" width="12.85546875" bestFit="1" customWidth="1"/>
    <col min="10" max="10" width="11.7109375" bestFit="1" customWidth="1"/>
    <col min="12" max="12" width="12.85546875" bestFit="1" customWidth="1"/>
    <col min="13" max="13" width="11.7109375" bestFit="1" customWidth="1"/>
    <col min="16" max="16" width="12.85546875" bestFit="1" customWidth="1"/>
  </cols>
  <sheetData>
    <row r="3" spans="1:15">
      <c r="A3" s="1" t="s">
        <v>49</v>
      </c>
      <c r="B3" s="1"/>
      <c r="C3" s="1" t="s">
        <v>50</v>
      </c>
      <c r="D3" s="1" t="s">
        <v>51</v>
      </c>
      <c r="E3" s="1"/>
      <c r="F3" s="1">
        <v>60</v>
      </c>
      <c r="G3" s="1"/>
      <c r="H3" s="1" t="s">
        <v>52</v>
      </c>
      <c r="I3" s="1"/>
      <c r="J3" s="1" t="s">
        <v>53</v>
      </c>
      <c r="K3" s="1"/>
      <c r="L3" s="1">
        <v>1.2</v>
      </c>
    </row>
    <row r="4" spans="1:15">
      <c r="A4" s="1"/>
      <c r="B4" s="1"/>
      <c r="C4" s="1"/>
      <c r="D4" s="1" t="s">
        <v>54</v>
      </c>
      <c r="E4" s="1"/>
      <c r="F4" s="1">
        <v>100</v>
      </c>
      <c r="G4" s="1"/>
      <c r="H4" s="1"/>
      <c r="I4" s="1"/>
      <c r="J4" s="1" t="s">
        <v>55</v>
      </c>
      <c r="K4" s="1"/>
      <c r="L4" s="1">
        <v>0.5</v>
      </c>
    </row>
    <row r="5" spans="1:15">
      <c r="A5" s="1"/>
      <c r="B5" s="1"/>
      <c r="C5" s="1"/>
      <c r="D5" s="1" t="s">
        <v>56</v>
      </c>
      <c r="E5" s="1"/>
      <c r="F5" s="1">
        <v>2.5</v>
      </c>
      <c r="G5" s="1"/>
      <c r="H5" s="1"/>
      <c r="I5" s="1"/>
      <c r="J5" s="1" t="s">
        <v>57</v>
      </c>
      <c r="K5" s="1"/>
      <c r="L5" s="1">
        <v>0.4</v>
      </c>
    </row>
    <row r="6" spans="1:15">
      <c r="A6" s="1"/>
      <c r="B6" s="1"/>
      <c r="C6" s="1"/>
      <c r="D6" s="1"/>
      <c r="E6" s="1"/>
      <c r="F6" s="1"/>
      <c r="G6" s="1"/>
      <c r="H6" s="1"/>
      <c r="I6" s="1"/>
      <c r="J6" s="1" t="s">
        <v>58</v>
      </c>
      <c r="K6" s="1"/>
      <c r="L6" s="1">
        <v>70</v>
      </c>
      <c r="O6" t="s">
        <v>59</v>
      </c>
    </row>
    <row r="7" spans="1:15">
      <c r="A7" s="1"/>
      <c r="B7" s="1"/>
      <c r="C7" s="1"/>
      <c r="D7" s="1" t="s">
        <v>60</v>
      </c>
      <c r="E7" s="1"/>
      <c r="F7" s="1">
        <v>28</v>
      </c>
      <c r="G7" s="1"/>
      <c r="H7" s="1"/>
      <c r="I7" s="1"/>
      <c r="J7" s="1"/>
      <c r="K7" s="1"/>
      <c r="L7" s="1"/>
    </row>
    <row r="8" spans="1:15">
      <c r="A8" s="1"/>
      <c r="B8" s="1"/>
      <c r="C8" s="1"/>
      <c r="D8" s="1" t="s">
        <v>61</v>
      </c>
      <c r="E8" s="1"/>
      <c r="F8" s="1">
        <v>231</v>
      </c>
      <c r="G8" s="1"/>
      <c r="H8" s="1"/>
      <c r="I8" s="1"/>
      <c r="J8" s="1"/>
      <c r="K8" s="1"/>
      <c r="L8" s="1"/>
    </row>
    <row r="9" spans="1:15">
      <c r="A9" s="1"/>
      <c r="B9" s="1"/>
      <c r="C9" s="1"/>
      <c r="D9" s="1" t="s">
        <v>62</v>
      </c>
      <c r="E9" s="1"/>
      <c r="F9" s="1">
        <v>50</v>
      </c>
      <c r="G9" s="1"/>
      <c r="H9" s="1"/>
      <c r="I9" s="1"/>
      <c r="J9" s="1"/>
      <c r="K9" s="1"/>
      <c r="L9" s="1"/>
    </row>
    <row r="10" spans="1:15">
      <c r="A10" s="1"/>
      <c r="B10" s="1"/>
      <c r="C10" s="1"/>
      <c r="D10" s="1"/>
      <c r="E10" s="1"/>
      <c r="F10" s="1"/>
      <c r="G10" s="1"/>
      <c r="H10" s="1" t="s">
        <v>63</v>
      </c>
      <c r="I10" s="1"/>
      <c r="J10" s="1" t="s">
        <v>64</v>
      </c>
      <c r="K10" s="1"/>
      <c r="L10" s="1">
        <v>130</v>
      </c>
    </row>
    <row r="11" spans="1:15">
      <c r="A11" s="1"/>
      <c r="B11" s="1"/>
      <c r="C11" s="1"/>
      <c r="D11" s="1"/>
      <c r="E11" s="1"/>
      <c r="F11" s="1"/>
      <c r="G11" s="1"/>
      <c r="H11" s="1"/>
      <c r="I11" s="1"/>
      <c r="J11" s="1" t="s">
        <v>65</v>
      </c>
      <c r="K11" s="1"/>
      <c r="L11" s="1">
        <v>1350</v>
      </c>
    </row>
    <row r="14" spans="1:15">
      <c r="A14" s="2" t="s">
        <v>66</v>
      </c>
      <c r="B14" s="2"/>
      <c r="C14" s="2" t="s">
        <v>67</v>
      </c>
      <c r="D14" s="2"/>
      <c r="E14" s="2">
        <f>F3*F4</f>
        <v>6000</v>
      </c>
      <c r="F14" s="2"/>
      <c r="G14" s="2" t="s">
        <v>68</v>
      </c>
      <c r="H14" s="2"/>
      <c r="I14" s="2">
        <f>(F3/2)*(F3/2)*3</f>
        <v>2700</v>
      </c>
      <c r="J14" s="2"/>
      <c r="K14" s="2" t="s">
        <v>69</v>
      </c>
      <c r="L14" s="2"/>
      <c r="M14" s="2">
        <f>I14*L5</f>
        <v>1080</v>
      </c>
    </row>
    <row r="15" spans="1:15">
      <c r="A15" s="2"/>
      <c r="B15" s="2"/>
      <c r="C15" s="2" t="s">
        <v>70</v>
      </c>
      <c r="D15" s="2"/>
      <c r="E15" s="3">
        <f>1/(E14/1000000)/4.44/F9/L3</f>
        <v>0.62562562562562551</v>
      </c>
      <c r="F15" s="2"/>
      <c r="G15" s="2" t="s">
        <v>71</v>
      </c>
      <c r="H15" s="2"/>
      <c r="I15" s="4">
        <f>2*F3+2*F4+(F3/2)*PI()</f>
        <v>414.24777960769381</v>
      </c>
      <c r="J15" s="2"/>
      <c r="K15" s="2"/>
      <c r="L15" s="2"/>
      <c r="M15" s="2"/>
    </row>
    <row r="16" spans="1: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5">
      <c r="A19" s="2"/>
      <c r="B19" s="2" t="s">
        <v>72</v>
      </c>
      <c r="C19" s="2" t="s">
        <v>73</v>
      </c>
      <c r="D19" s="4">
        <f>F7*E15</f>
        <v>17.517517517517515</v>
      </c>
      <c r="E19" s="2"/>
      <c r="F19" s="2" t="s">
        <v>74</v>
      </c>
      <c r="G19" s="4">
        <f>D19*I15/1000</f>
        <v>7.2565927358705116</v>
      </c>
      <c r="H19" s="2"/>
      <c r="I19" s="2" t="s">
        <v>75</v>
      </c>
      <c r="J19" s="4">
        <f>M14/2/D19</f>
        <v>30.826285714285721</v>
      </c>
      <c r="K19" s="2"/>
      <c r="L19" s="2" t="s">
        <v>76</v>
      </c>
      <c r="M19" s="4">
        <f>J19/L4</f>
        <v>61.652571428571441</v>
      </c>
      <c r="O19">
        <f>F7*M19</f>
        <v>1726.2720000000004</v>
      </c>
    </row>
    <row r="20" spans="1:15">
      <c r="A20" s="2"/>
      <c r="B20" s="2" t="s">
        <v>77</v>
      </c>
      <c r="C20" s="2" t="s">
        <v>73</v>
      </c>
      <c r="D20" s="4">
        <f>F8*E15</f>
        <v>144.51951951951949</v>
      </c>
      <c r="E20" s="2"/>
      <c r="F20" s="2" t="s">
        <v>74</v>
      </c>
      <c r="G20" s="4">
        <f>D20*I15/1000</f>
        <v>59.866890070931717</v>
      </c>
      <c r="H20" s="2"/>
      <c r="I20" s="2" t="s">
        <v>75</v>
      </c>
      <c r="J20" s="4">
        <f>M14/2/D20</f>
        <v>3.7365194805194815</v>
      </c>
      <c r="K20" s="2"/>
      <c r="L20" s="2" t="s">
        <v>76</v>
      </c>
      <c r="M20" s="4">
        <f>J20/L4</f>
        <v>7.4730389610389629</v>
      </c>
      <c r="O20">
        <f>F8*M20</f>
        <v>1726.2720000000004</v>
      </c>
    </row>
    <row r="21" spans="1: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5">
      <c r="A22" s="2"/>
      <c r="B22" s="2" t="s">
        <v>78</v>
      </c>
      <c r="C22" s="2"/>
      <c r="D22" s="2">
        <v>4000</v>
      </c>
      <c r="E22" s="2"/>
      <c r="F22" s="2"/>
      <c r="G22" s="5"/>
      <c r="H22" s="2"/>
      <c r="I22" s="2"/>
      <c r="J22" s="2" t="s">
        <v>79</v>
      </c>
      <c r="K22" s="2"/>
      <c r="L22" s="4">
        <f>L3^2*F5*D27*F9/50</f>
        <v>59.875199999999992</v>
      </c>
      <c r="M22" s="2"/>
    </row>
    <row r="23" spans="1:15">
      <c r="A23" s="2"/>
      <c r="B23" s="2" t="s">
        <v>80</v>
      </c>
      <c r="C23" s="2"/>
      <c r="D23" s="4">
        <f>L24/D22*100</f>
        <v>3.5701922102487176</v>
      </c>
      <c r="E23" s="2"/>
      <c r="F23" s="2"/>
      <c r="G23" s="2"/>
      <c r="H23" s="2"/>
      <c r="I23" s="2"/>
      <c r="J23" s="2" t="s">
        <v>81</v>
      </c>
      <c r="K23" s="2"/>
      <c r="L23" s="4">
        <f>D24/100*D22</f>
        <v>82.932488409948704</v>
      </c>
      <c r="M23" s="2"/>
    </row>
    <row r="24" spans="1:15">
      <c r="A24" s="2"/>
      <c r="B24" s="2" t="s">
        <v>82</v>
      </c>
      <c r="C24" s="2"/>
      <c r="D24" s="4">
        <f>M19*G19/J19*0.02*2/F7*100</f>
        <v>2.0733122102487176</v>
      </c>
      <c r="E24" s="2"/>
      <c r="F24" s="2"/>
      <c r="G24" s="2"/>
      <c r="H24" s="2"/>
      <c r="I24" s="2"/>
      <c r="J24" s="2" t="s">
        <v>83</v>
      </c>
      <c r="K24" s="2"/>
      <c r="L24" s="4">
        <f>L23+L22</f>
        <v>142.8076884099487</v>
      </c>
      <c r="M24" s="2"/>
    </row>
    <row r="25" spans="1:15">
      <c r="A25" s="2"/>
      <c r="B25" s="2" t="s">
        <v>84</v>
      </c>
      <c r="C25" s="2"/>
      <c r="D25" s="4">
        <f>F8*(100-D24)/100</f>
        <v>226.21064879432546</v>
      </c>
      <c r="E25" s="2"/>
      <c r="F25" s="2"/>
      <c r="G25" s="2"/>
      <c r="H25" s="2"/>
      <c r="I25" s="2"/>
      <c r="J25" s="2" t="s">
        <v>85</v>
      </c>
      <c r="K25" s="2"/>
      <c r="L25" s="4">
        <f>((F3*6+F3*5)*F4+2*F3*3*F3*2.5+F3*4)/1000000</f>
        <v>0.12024</v>
      </c>
      <c r="M25" s="2"/>
    </row>
    <row r="26" spans="1:15">
      <c r="A26" s="2"/>
      <c r="B26" s="2"/>
      <c r="C26" s="2"/>
      <c r="D26" s="2"/>
      <c r="E26" s="6" t="s">
        <v>86</v>
      </c>
      <c r="F26" s="2"/>
      <c r="G26" s="2"/>
      <c r="H26" s="2" t="s">
        <v>87</v>
      </c>
      <c r="I26" s="2"/>
      <c r="J26" s="2"/>
      <c r="K26" s="2"/>
      <c r="L26" s="9">
        <f>L24/L25/L6</f>
        <v>16.966981324250153</v>
      </c>
      <c r="M26" s="2"/>
    </row>
    <row r="27" spans="1:15">
      <c r="A27" s="2"/>
      <c r="B27" s="2" t="s">
        <v>88</v>
      </c>
      <c r="C27" s="2"/>
      <c r="D27" s="4">
        <f>F3*3*F3*2*F4/1000000*7.7</f>
        <v>16.632000000000001</v>
      </c>
      <c r="E27" s="7">
        <f>D27*L10</f>
        <v>2162.1600000000003</v>
      </c>
      <c r="F27" s="2"/>
      <c r="G27" s="2"/>
      <c r="H27" s="2"/>
      <c r="I27" s="2"/>
      <c r="J27" s="2"/>
      <c r="K27" s="10" t="s">
        <v>89</v>
      </c>
      <c r="L27" s="10"/>
      <c r="M27" s="2"/>
    </row>
    <row r="28" spans="1:15">
      <c r="A28" s="2"/>
      <c r="B28" s="2" t="s">
        <v>90</v>
      </c>
      <c r="C28" s="2"/>
      <c r="D28" s="4">
        <f>M14*I15/1000000*8.93</f>
        <v>3.9951712856484423</v>
      </c>
      <c r="E28" s="7">
        <f>D28*L11</f>
        <v>5393.4812356253969</v>
      </c>
      <c r="F28" s="2"/>
      <c r="G28" s="2"/>
      <c r="H28" s="2"/>
      <c r="I28" s="2"/>
      <c r="J28" s="2"/>
      <c r="K28" s="10" t="s">
        <v>91</v>
      </c>
      <c r="L28" s="10"/>
      <c r="M28" s="10"/>
    </row>
    <row r="29" spans="1:15">
      <c r="A29" s="2"/>
      <c r="B29" s="2" t="s">
        <v>92</v>
      </c>
      <c r="C29" s="2"/>
      <c r="D29" s="8">
        <f>D27+D28</f>
        <v>20.627171285648444</v>
      </c>
      <c r="E29" s="7">
        <f>E28+E27</f>
        <v>7555.6412356253968</v>
      </c>
      <c r="F29" s="2"/>
      <c r="G29" s="2"/>
      <c r="H29" s="2"/>
      <c r="I29" s="2"/>
      <c r="J29" s="2"/>
      <c r="K29" s="10" t="s">
        <v>93</v>
      </c>
      <c r="L29" s="10"/>
      <c r="M29" s="10"/>
    </row>
    <row r="30" spans="1:15">
      <c r="A30" s="2"/>
      <c r="B30" s="2" t="s">
        <v>94</v>
      </c>
      <c r="C30" s="2"/>
      <c r="D30" s="4">
        <f>E29/D22</f>
        <v>1.8889103089063493</v>
      </c>
      <c r="E30" s="2"/>
      <c r="F30" s="2"/>
      <c r="G30" s="2"/>
      <c r="H30" s="2"/>
      <c r="I30" s="2"/>
      <c r="J30" s="2"/>
      <c r="K30" s="10" t="s">
        <v>95</v>
      </c>
      <c r="L30" s="10"/>
      <c r="M30" s="10"/>
    </row>
  </sheetData>
  <pageMargins left="0.75" right="0.75" top="1" bottom="1" header="0.5" footer="0.5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Toroidal</vt:lpstr>
      <vt:lpstr>E-I</vt:lpstr>
    </vt:vector>
  </TitlesOfParts>
  <Company>ESO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Mornhinweg</dc:creator>
  <cp:lastModifiedBy>Pavilion</cp:lastModifiedBy>
  <dcterms:created xsi:type="dcterms:W3CDTF">2007-08-05T18:41:48Z</dcterms:created>
  <dcterms:modified xsi:type="dcterms:W3CDTF">2019-02-13T06:29:15Z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